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9035" windowHeight="11505"/>
  </bookViews>
  <sheets>
    <sheet name="Параметры" sheetId="4" r:id="rId1"/>
    <sheet name="Депозит" sheetId="1" r:id="rId2"/>
    <sheet name="ОПИФА &quot;Арсагера - фонд акций&quot;" sheetId="5" r:id="rId3"/>
    <sheet name="ИПИФА &quot;Арсагера - акции 6.4&quot;" sheetId="7" r:id="rId4"/>
  </sheets>
  <calcPr calcId="124519"/>
</workbook>
</file>

<file path=xl/calcChain.xml><?xml version="1.0" encoding="utf-8"?>
<calcChain xmlns="http://schemas.openxmlformats.org/spreadsheetml/2006/main">
  <c r="E37" i="7"/>
  <c r="F37" s="1"/>
  <c r="H37" s="1"/>
  <c r="E31"/>
  <c r="F31" s="1"/>
  <c r="H31" s="1"/>
  <c r="E25"/>
  <c r="F25" s="1"/>
  <c r="H25" s="1"/>
  <c r="E19"/>
  <c r="F19" s="1"/>
  <c r="H19" s="1"/>
  <c r="E13"/>
  <c r="F13" s="1"/>
  <c r="H13" s="1"/>
  <c r="E7"/>
  <c r="F7" s="1"/>
  <c r="H7" s="1"/>
  <c r="E32" i="5"/>
  <c r="B2" i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 s="1"/>
  <c r="B5" i="4" s="1"/>
  <c r="E4" i="7"/>
  <c r="F4" s="1"/>
  <c r="H4" s="1"/>
  <c r="E34"/>
  <c r="F34" s="1"/>
  <c r="H34" s="1"/>
  <c r="E28"/>
  <c r="F28" s="1"/>
  <c r="H28" s="1"/>
  <c r="E22"/>
  <c r="F22" s="1"/>
  <c r="H22" s="1"/>
  <c r="E16"/>
  <c r="F16" s="1"/>
  <c r="H16" s="1"/>
  <c r="E10"/>
  <c r="F10" s="1"/>
  <c r="H10" s="1"/>
  <c r="E37" i="5"/>
  <c r="F37"/>
  <c r="H37"/>
  <c r="E36"/>
  <c r="F36"/>
  <c r="H36"/>
  <c r="E35"/>
  <c r="F35"/>
  <c r="H35"/>
  <c r="E34"/>
  <c r="F34"/>
  <c r="H34"/>
  <c r="E33"/>
  <c r="F33"/>
  <c r="H33"/>
  <c r="F32"/>
  <c r="H32"/>
  <c r="E31"/>
  <c r="F31"/>
  <c r="H31"/>
  <c r="E30"/>
  <c r="F30"/>
  <c r="H30"/>
  <c r="E29"/>
  <c r="F29"/>
  <c r="H29"/>
  <c r="E28"/>
  <c r="F28"/>
  <c r="H28"/>
  <c r="E27"/>
  <c r="F27"/>
  <c r="H27"/>
  <c r="E26"/>
  <c r="F26"/>
  <c r="H26"/>
  <c r="E25"/>
  <c r="F25"/>
  <c r="H25"/>
  <c r="E24"/>
  <c r="F24"/>
  <c r="H24"/>
  <c r="E23"/>
  <c r="F23"/>
  <c r="H23"/>
  <c r="E22"/>
  <c r="F22"/>
  <c r="H22"/>
  <c r="E21"/>
  <c r="F21"/>
  <c r="H21"/>
  <c r="E20"/>
  <c r="F20"/>
  <c r="H20"/>
  <c r="E19"/>
  <c r="F19"/>
  <c r="H19"/>
  <c r="E18"/>
  <c r="F18"/>
  <c r="H18"/>
  <c r="E17"/>
  <c r="F17"/>
  <c r="H17"/>
  <c r="E16"/>
  <c r="F16"/>
  <c r="H16"/>
  <c r="E15"/>
  <c r="F15"/>
  <c r="H15"/>
  <c r="E14"/>
  <c r="F14"/>
  <c r="H14"/>
  <c r="E13"/>
  <c r="F13"/>
  <c r="H13"/>
  <c r="E12"/>
  <c r="F12"/>
  <c r="H12"/>
  <c r="E11"/>
  <c r="F11"/>
  <c r="H11"/>
  <c r="E10"/>
  <c r="F10"/>
  <c r="H10"/>
  <c r="E9"/>
  <c r="F9"/>
  <c r="H9"/>
  <c r="E8"/>
  <c r="F8"/>
  <c r="H8"/>
  <c r="E7"/>
  <c r="F7"/>
  <c r="H7"/>
  <c r="E6"/>
  <c r="F6"/>
  <c r="E5"/>
  <c r="F5"/>
  <c r="H5"/>
  <c r="E4"/>
  <c r="F4"/>
  <c r="H4"/>
  <c r="E3"/>
  <c r="F3"/>
  <c r="H3"/>
  <c r="E2"/>
  <c r="F2" s="1"/>
  <c r="H2" s="1"/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H6" i="5"/>
  <c r="E41" l="1"/>
  <c r="E41" i="7"/>
  <c r="E42" s="1"/>
  <c r="E44"/>
  <c r="E42" i="5"/>
  <c r="E44"/>
  <c r="E45" s="1"/>
  <c r="E46"/>
  <c r="B6" i="4" s="1"/>
  <c r="E45" i="7" l="1"/>
  <c r="E46" s="1"/>
  <c r="B7" i="4" s="1"/>
</calcChain>
</file>

<file path=xl/sharedStrings.xml><?xml version="1.0" encoding="utf-8"?>
<sst xmlns="http://schemas.openxmlformats.org/spreadsheetml/2006/main" count="49" uniqueCount="30">
  <si>
    <t>Месяц</t>
  </si>
  <si>
    <t>Стоимость одного пая</t>
  </si>
  <si>
    <t>Дата</t>
  </si>
  <si>
    <t>кол-во паев</t>
  </si>
  <si>
    <t>скидка при погашении паев</t>
  </si>
  <si>
    <t>размер скидки</t>
  </si>
  <si>
    <t>итого на 15.06.2010</t>
  </si>
  <si>
    <t>стоимость паев</t>
  </si>
  <si>
    <t>при погашении паев 15.06.2010</t>
  </si>
  <si>
    <t>налог при погашении паев</t>
  </si>
  <si>
    <t>кол-во приобретенных паев</t>
  </si>
  <si>
    <t xml:space="preserve">В случае погашения паев, приобретенных частями в различные периоды, размер скидки определяется отдельно для каждого срока владения паями. </t>
  </si>
  <si>
    <r>
      <rPr>
        <b/>
        <sz val="10"/>
        <color indexed="8"/>
        <rFont val="Calibri"/>
        <family val="2"/>
        <charset val="204"/>
      </rPr>
      <t xml:space="preserve">При приобретении паев </t>
    </r>
    <r>
      <rPr>
        <sz val="10"/>
        <color indexed="8"/>
        <rFont val="Calibri"/>
        <family val="2"/>
        <charset val="204"/>
      </rPr>
      <t xml:space="preserve">количество паев определяется путем деления суммы денежных средств на расчетную стоимость пая, увеличенную на надбавку. Количество паев округляется до 5 знака после запятой. </t>
    </r>
  </si>
  <si>
    <r>
      <rPr>
        <b/>
        <sz val="10"/>
        <color indexed="8"/>
        <rFont val="Calibri"/>
        <family val="2"/>
        <charset val="204"/>
      </rPr>
      <t>При погашении паев с</t>
    </r>
    <r>
      <rPr>
        <sz val="10"/>
        <color indexed="8"/>
        <rFont val="Calibri"/>
        <family val="2"/>
        <charset val="204"/>
      </rPr>
      <t xml:space="preserve">умма денежной компенсации рассчитывается как произведение количества погашаемых паев на расчетную стоимость пая, уменьшенную на скидку. </t>
    </r>
  </si>
  <si>
    <t>Примечания</t>
  </si>
  <si>
    <r>
      <rPr>
        <b/>
        <sz val="10"/>
        <color indexed="8"/>
        <rFont val="Calibri"/>
        <family val="2"/>
        <charset val="204"/>
      </rPr>
      <t xml:space="preserve">Налог </t>
    </r>
    <r>
      <rPr>
        <sz val="10"/>
        <color indexed="8"/>
        <rFont val="Calibri"/>
        <family val="2"/>
        <charset val="204"/>
      </rPr>
      <t>(НДФЛ) рассчитывается как 13% от разницы полученного дохода и расходов на приобретение и реализацию паев.</t>
    </r>
  </si>
  <si>
    <t xml:space="preserve">надбавка к стоимости пая при приобретении </t>
  </si>
  <si>
    <t>стоимость пая, увеличенная на надбавку</t>
  </si>
  <si>
    <t>итого на 23.06.2010</t>
  </si>
  <si>
    <t>при погашении паев 23.06.2010</t>
  </si>
  <si>
    <t>выплачено пайщику</t>
  </si>
  <si>
    <t>Доходность депозита, годовых</t>
  </si>
  <si>
    <t>Сумма инвестиций ( с ежемесячной капитализацией процентов)</t>
  </si>
  <si>
    <t>Депозит</t>
  </si>
  <si>
    <t>ИПИФА «Арсагера – акции 6.4»</t>
  </si>
  <si>
    <t>ОПИФА «Арсагера – фонд акций»</t>
  </si>
  <si>
    <t>Период инвестирования</t>
  </si>
  <si>
    <t>*расчеты по фондам основываются на данных прошлых периодов</t>
  </si>
  <si>
    <t>Сумма ежемесячного взноса на деп, р.</t>
  </si>
  <si>
    <t>ИТОГО через 36 месяцев*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</si>
</sst>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_-* #,##0&quot;р.&quot;_-;\-* #,##0&quot;р.&quot;_-;_-* &quot;-&quot;??&quot;р.&quot;_-;_-@_-"/>
  </numFmts>
  <fonts count="1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69">
    <xf numFmtId="0" fontId="0" fillId="0" borderId="0" xfId="0"/>
    <xf numFmtId="2" fontId="0" fillId="0" borderId="0" xfId="0" applyNumberFormat="1"/>
    <xf numFmtId="14" fontId="0" fillId="0" borderId="0" xfId="0" applyNumberFormat="1"/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/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3" fillId="0" borderId="0" xfId="2" applyNumberFormat="1" applyFont="1"/>
    <xf numFmtId="0" fontId="0" fillId="0" borderId="1" xfId="0" applyBorder="1"/>
    <xf numFmtId="0" fontId="4" fillId="0" borderId="1" xfId="1" applyBorder="1" applyAlignment="1" applyProtection="1"/>
    <xf numFmtId="0" fontId="4" fillId="0" borderId="2" xfId="1" applyBorder="1" applyAlignment="1" applyProtection="1"/>
    <xf numFmtId="165" fontId="5" fillId="0" borderId="3" xfId="0" applyNumberFormat="1" applyFont="1" applyBorder="1"/>
    <xf numFmtId="165" fontId="5" fillId="0" borderId="4" xfId="0" applyNumberFormat="1" applyFont="1" applyBorder="1"/>
    <xf numFmtId="0" fontId="0" fillId="0" borderId="0" xfId="0" applyBorder="1"/>
    <xf numFmtId="164" fontId="7" fillId="0" borderId="0" xfId="0" applyNumberFormat="1" applyFont="1" applyBorder="1" applyAlignment="1">
      <alignment horizontal="left"/>
    </xf>
    <xf numFmtId="164" fontId="7" fillId="0" borderId="13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top"/>
    </xf>
    <xf numFmtId="1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0" fontId="6" fillId="0" borderId="0" xfId="2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64" fontId="7" fillId="0" borderId="8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" fontId="5" fillId="0" borderId="14" xfId="0" applyNumberFormat="1" applyFont="1" applyBorder="1" applyAlignment="1">
      <alignment horizontal="left"/>
    </xf>
    <xf numFmtId="4" fontId="5" fillId="0" borderId="11" xfId="0" applyNumberFormat="1" applyFont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164" fontId="10" fillId="2" borderId="13" xfId="0" applyNumberFormat="1" applyFont="1" applyFill="1" applyBorder="1" applyAlignment="1">
      <alignment horizontal="left"/>
    </xf>
    <xf numFmtId="4" fontId="10" fillId="2" borderId="14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164" fontId="10" fillId="0" borderId="13" xfId="0" applyNumberFormat="1" applyFont="1" applyBorder="1" applyAlignment="1">
      <alignment horizontal="left"/>
    </xf>
    <xf numFmtId="4" fontId="10" fillId="0" borderId="14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alignment horizontal="center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center" textRotation="0" wrapText="0" indent="0" relativeIndent="255" justifyLastLine="0" shrinkToFit="0" mergeCell="0" readingOrder="0"/>
    </dxf>
    <dxf>
      <font>
        <b/>
      </font>
      <alignment horizontal="center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mergeCell="0" readingOrder="0"/>
    </dxf>
    <dxf>
      <font>
        <b/>
      </font>
      <numFmt numFmtId="2" formatCode="0.00"/>
      <alignment horizontal="center" vertical="center" textRotation="0" wrapText="0" indent="0" relativeIndent="255" justifyLastLine="0" shrinkToFit="0" mergeCell="0" readingOrder="0"/>
    </dxf>
    <dxf>
      <font>
        <b/>
      </font>
      <alignment horizontal="center" vertical="center" textRotation="0" wrapText="0" indent="0" relativeIndent="255" justifyLastLine="0" shrinkToFit="0" mergeCell="0" readingOrder="0"/>
    </dxf>
    <dxf>
      <border outline="0">
        <bottom style="medium">
          <color indexed="64"/>
        </bottom>
      </border>
    </dxf>
    <dxf>
      <font>
        <b/>
      </font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Таблица5" displayName="Таблица5" ref="A1:B38" totalsRowShown="0" headerRowDxfId="20" dataDxfId="19" tableBorderDxfId="18">
  <tableColumns count="2">
    <tableColumn id="1" name="Месяц" dataDxfId="17">
      <calculatedColumnFormula>A1+1</calculatedColumnFormula>
    </tableColumn>
    <tableColumn id="2" name="Сумма инвестиций ( с ежемесячной капитализацией процентов)" dataDxfId="16">
      <calculatedColumnFormula>(B1+Параметры!$B$1)+B1*(Параметры!$B$2/12)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1:H37" totalsRowShown="0" headerRowDxfId="15" dataDxfId="14">
  <tableColumns count="8">
    <tableColumn id="1" name="Период инвестирования" dataDxfId="13"/>
    <tableColumn id="2" name="Дата" dataDxfId="12"/>
    <tableColumn id="3" name="Стоимость одного пая" dataDxfId="11"/>
    <tableColumn id="4" name="надбавка к стоимости пая при приобретении " dataDxfId="10"/>
    <tableColumn id="5" name="стоимость пая, увеличенная на надбавку" dataDxfId="9">
      <calculatedColumnFormula>ROUND(C2*(1+D2),2)</calculatedColumnFormula>
    </tableColumn>
    <tableColumn id="6" name="кол-во приобретенных паев" dataDxfId="8">
      <calculatedColumnFormula>ROUND(Параметры!$B$1/E2,5)</calculatedColumnFormula>
    </tableColumn>
    <tableColumn id="7" name="скидка при погашении паев" dataDxfId="7"/>
    <tableColumn id="8" name="размер скидки" dataDxfId="6">
      <calculatedColumnFormula>ROUND($C$38*F2*G2,2)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1:H37" totalsRowShown="0" headerRowDxfId="5">
  <tableColumns count="8">
    <tableColumn id="1" name="Период инвестирования" dataDxfId="4"/>
    <tableColumn id="2" name="Дата"/>
    <tableColumn id="3" name="Стоимость одного пая"/>
    <tableColumn id="4" name="надбавка к стоимости пая при приобретении " dataDxfId="3"/>
    <tableColumn id="5" name="стоимость пая, увеличенная на надбавку" dataDxfId="2"/>
    <tableColumn id="6" name="кол-во приобретенных паев" dataDxfId="1"/>
    <tableColumn id="7" name="скидка при погашении паев"/>
    <tableColumn id="8" name="размер скидки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rsagera.ru/ne_udalyat/fond_akcij/" TargetMode="External"/><Relationship Id="rId1" Type="http://schemas.openxmlformats.org/officeDocument/2006/relationships/hyperlink" Target="http://www.arsagera.ru/ne_udalyat/akcii64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0"/>
  <sheetViews>
    <sheetView tabSelected="1" workbookViewId="0">
      <selection activeCell="B2" sqref="B2"/>
    </sheetView>
  </sheetViews>
  <sheetFormatPr defaultRowHeight="15"/>
  <cols>
    <col min="1" max="1" width="36.7109375" customWidth="1"/>
    <col min="2" max="2" width="13.28515625" bestFit="1" customWidth="1"/>
    <col min="3" max="3" width="13.5703125" customWidth="1"/>
  </cols>
  <sheetData>
    <row r="1" spans="1:2">
      <c r="A1" t="s">
        <v>28</v>
      </c>
      <c r="B1">
        <v>12000</v>
      </c>
    </row>
    <row r="2" spans="1:2">
      <c r="A2" t="s">
        <v>21</v>
      </c>
      <c r="B2" s="9">
        <v>6.5000000000000002E-2</v>
      </c>
    </row>
    <row r="3" spans="1:2" ht="15.75" thickBot="1"/>
    <row r="4" spans="1:2">
      <c r="A4" s="67" t="s">
        <v>29</v>
      </c>
      <c r="B4" s="68"/>
    </row>
    <row r="5" spans="1:2">
      <c r="A5" s="10" t="s">
        <v>23</v>
      </c>
      <c r="B5" s="13">
        <f>Депозит!B38</f>
        <v>478156.27929424337</v>
      </c>
    </row>
    <row r="6" spans="1:2">
      <c r="A6" s="11" t="s">
        <v>25</v>
      </c>
      <c r="B6" s="13">
        <f>'ОПИФА "Арсагера - фонд акций"'!E46</f>
        <v>686997.84</v>
      </c>
    </row>
    <row r="7" spans="1:2" ht="15.75" thickBot="1">
      <c r="A7" s="12" t="s">
        <v>24</v>
      </c>
      <c r="B7" s="14">
        <f>'ИПИФА "Арсагера - акции 6.4"'!E46</f>
        <v>746359.74999999988</v>
      </c>
    </row>
    <row r="10" spans="1:2">
      <c r="A10" t="s">
        <v>27</v>
      </c>
    </row>
  </sheetData>
  <mergeCells count="1">
    <mergeCell ref="A4:B4"/>
  </mergeCells>
  <hyperlinks>
    <hyperlink ref="A7" r:id="rId1" display="http://www.arsagera.ru/ne_udalyat/akcii64/"/>
    <hyperlink ref="A6" r:id="rId2" display="http://www.arsagera.ru/ne_udalyat/fond_akcij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39"/>
  <sheetViews>
    <sheetView topLeftCell="A13" workbookViewId="0">
      <selection activeCell="D12" sqref="D12"/>
    </sheetView>
  </sheetViews>
  <sheetFormatPr defaultRowHeight="15"/>
  <cols>
    <col min="2" max="2" width="20.85546875" customWidth="1"/>
    <col min="3" max="3" width="23.140625" customWidth="1"/>
    <col min="4" max="4" width="17.5703125" customWidth="1"/>
  </cols>
  <sheetData>
    <row r="1" spans="1:5" ht="60" customHeight="1">
      <c r="A1" s="62" t="s">
        <v>0</v>
      </c>
      <c r="B1" s="65" t="s">
        <v>22</v>
      </c>
    </row>
    <row r="2" spans="1:5">
      <c r="A2" s="55">
        <v>1</v>
      </c>
      <c r="B2" s="63">
        <f>Параметры!B1</f>
        <v>12000</v>
      </c>
      <c r="C2" s="8"/>
      <c r="E2" s="1"/>
    </row>
    <row r="3" spans="1:5">
      <c r="A3" s="55">
        <f>A2+1</f>
        <v>2</v>
      </c>
      <c r="B3" s="63">
        <f>(B2+Параметры!$B$1)+B2*(Параметры!$B$2/12)</f>
        <v>24065</v>
      </c>
      <c r="E3" s="1"/>
    </row>
    <row r="4" spans="1:5">
      <c r="A4" s="55">
        <f t="shared" ref="A4:A37" si="0">A3+1</f>
        <v>3</v>
      </c>
      <c r="B4" s="63">
        <f>(B3+Параметры!$B$1)+B3*(Параметры!$B$2/12)</f>
        <v>36195.352083333331</v>
      </c>
      <c r="E4" s="1"/>
    </row>
    <row r="5" spans="1:5">
      <c r="A5" s="55">
        <f t="shared" si="0"/>
        <v>4</v>
      </c>
      <c r="B5" s="63">
        <f>(B4+Параметры!$B$1)+B4*(Параметры!$B$2/12)</f>
        <v>48391.410240451391</v>
      </c>
      <c r="E5" s="1"/>
    </row>
    <row r="6" spans="1:5">
      <c r="A6" s="55">
        <f t="shared" si="0"/>
        <v>5</v>
      </c>
      <c r="B6" s="63">
        <f>(B5+Параметры!$B$1)+B5*(Параметры!$B$2/12)</f>
        <v>60653.530379253833</v>
      </c>
      <c r="E6" s="1"/>
    </row>
    <row r="7" spans="1:5">
      <c r="A7" s="55">
        <f t="shared" si="0"/>
        <v>6</v>
      </c>
      <c r="B7" s="63">
        <f>(B6+Параметры!$B$1)+B6*(Параметры!$B$2/12)</f>
        <v>72982.070335474797</v>
      </c>
      <c r="E7" s="1"/>
    </row>
    <row r="8" spans="1:5">
      <c r="A8" s="55">
        <f t="shared" si="0"/>
        <v>7</v>
      </c>
      <c r="B8" s="63">
        <f>(B7+Параметры!$B$1)+B7*(Параметры!$B$2/12)</f>
        <v>85377.389883125288</v>
      </c>
      <c r="E8" s="1"/>
    </row>
    <row r="9" spans="1:5">
      <c r="A9" s="55">
        <f t="shared" si="0"/>
        <v>8</v>
      </c>
      <c r="B9" s="63">
        <f>(B8+Параметры!$B$1)+B8*(Параметры!$B$2/12)</f>
        <v>97839.850744992218</v>
      </c>
    </row>
    <row r="10" spans="1:5">
      <c r="A10" s="55">
        <f t="shared" si="0"/>
        <v>9</v>
      </c>
      <c r="B10" s="63">
        <f>(B9+Параметры!$B$1)+B9*(Параметры!$B$2/12)</f>
        <v>110369.81660319425</v>
      </c>
    </row>
    <row r="11" spans="1:5">
      <c r="A11" s="55">
        <f t="shared" si="0"/>
        <v>10</v>
      </c>
      <c r="B11" s="63">
        <f>(B10+Параметры!$B$1)+B10*(Параметры!$B$2/12)</f>
        <v>122967.65310979489</v>
      </c>
    </row>
    <row r="12" spans="1:5">
      <c r="A12" s="55">
        <f t="shared" si="0"/>
        <v>11</v>
      </c>
      <c r="B12" s="63">
        <f>(B11+Параметры!$B$1)+B11*(Параметры!$B$2/12)</f>
        <v>135633.72789747294</v>
      </c>
    </row>
    <row r="13" spans="1:5">
      <c r="A13" s="55">
        <f t="shared" si="0"/>
        <v>12</v>
      </c>
      <c r="B13" s="63">
        <f>(B12+Параметры!$B$1)+B12*(Параметры!$B$2/12)</f>
        <v>148368.41059025092</v>
      </c>
    </row>
    <row r="14" spans="1:5">
      <c r="A14" s="55">
        <f t="shared" si="0"/>
        <v>13</v>
      </c>
      <c r="B14" s="63">
        <f>(B13+Параметры!$B$1)+B13*(Параметры!$B$2/12)</f>
        <v>161172.07281428145</v>
      </c>
    </row>
    <row r="15" spans="1:5">
      <c r="A15" s="55">
        <f t="shared" si="0"/>
        <v>14</v>
      </c>
      <c r="B15" s="63">
        <f>(B14+Параметры!$B$1)+B14*(Параметры!$B$2/12)</f>
        <v>174045.08820869215</v>
      </c>
    </row>
    <row r="16" spans="1:5">
      <c r="A16" s="55">
        <f t="shared" si="0"/>
        <v>15</v>
      </c>
      <c r="B16" s="63">
        <f>(B15+Параметры!$B$1)+B15*(Параметры!$B$2/12)</f>
        <v>186987.83243648923</v>
      </c>
    </row>
    <row r="17" spans="1:2">
      <c r="A17" s="55">
        <f t="shared" si="0"/>
        <v>16</v>
      </c>
      <c r="B17" s="63">
        <f>(B16+Параметры!$B$1)+B16*(Параметры!$B$2/12)</f>
        <v>200000.68319552022</v>
      </c>
    </row>
    <row r="18" spans="1:2">
      <c r="A18" s="55">
        <f t="shared" si="0"/>
        <v>17</v>
      </c>
      <c r="B18" s="63">
        <f>(B17+Параметры!$B$1)+B17*(Параметры!$B$2/12)</f>
        <v>213084.02022949595</v>
      </c>
    </row>
    <row r="19" spans="1:2">
      <c r="A19" s="55">
        <f t="shared" si="0"/>
        <v>18</v>
      </c>
      <c r="B19" s="63">
        <f>(B18+Параметры!$B$1)+B18*(Параметры!$B$2/12)</f>
        <v>226238.22533907238</v>
      </c>
    </row>
    <row r="20" spans="1:2">
      <c r="A20" s="55">
        <f t="shared" si="0"/>
        <v>19</v>
      </c>
      <c r="B20" s="63">
        <f>(B19+Параметры!$B$1)+B19*(Параметры!$B$2/12)</f>
        <v>239463.68239299234</v>
      </c>
    </row>
    <row r="21" spans="1:2">
      <c r="A21" s="55">
        <f t="shared" si="0"/>
        <v>20</v>
      </c>
      <c r="B21" s="63">
        <f>(B20+Параметры!$B$1)+B20*(Параметры!$B$2/12)</f>
        <v>252760.77733928771</v>
      </c>
    </row>
    <row r="22" spans="1:2">
      <c r="A22" s="55">
        <f t="shared" si="0"/>
        <v>21</v>
      </c>
      <c r="B22" s="63">
        <f>(B21+Параметры!$B$1)+B21*(Параметры!$B$2/12)</f>
        <v>266129.89821654215</v>
      </c>
    </row>
    <row r="23" spans="1:2">
      <c r="A23" s="55">
        <f t="shared" si="0"/>
        <v>22</v>
      </c>
      <c r="B23" s="63">
        <f>(B22+Параметры!$B$1)+B22*(Параметры!$B$2/12)</f>
        <v>279571.43516521511</v>
      </c>
    </row>
    <row r="24" spans="1:2">
      <c r="A24" s="55">
        <f t="shared" si="0"/>
        <v>23</v>
      </c>
      <c r="B24" s="63">
        <f>(B23+Параметры!$B$1)+B23*(Параметры!$B$2/12)</f>
        <v>293085.78043902671</v>
      </c>
    </row>
    <row r="25" spans="1:2">
      <c r="A25" s="55">
        <f t="shared" si="0"/>
        <v>24</v>
      </c>
      <c r="B25" s="63">
        <f>(B24+Параметры!$B$1)+B24*(Параметры!$B$2/12)</f>
        <v>306673.32841640478</v>
      </c>
    </row>
    <row r="26" spans="1:2">
      <c r="A26" s="55">
        <f t="shared" si="0"/>
        <v>25</v>
      </c>
      <c r="B26" s="63">
        <f>(B25+Параметры!$B$1)+B25*(Параметры!$B$2/12)</f>
        <v>320334.47561199364</v>
      </c>
    </row>
    <row r="27" spans="1:2">
      <c r="A27" s="55">
        <f t="shared" si="0"/>
        <v>26</v>
      </c>
      <c r="B27" s="63">
        <f>(B26+Параметры!$B$1)+B26*(Параметры!$B$2/12)</f>
        <v>334069.62068822526</v>
      </c>
    </row>
    <row r="28" spans="1:2">
      <c r="A28" s="55">
        <f t="shared" si="0"/>
        <v>27</v>
      </c>
      <c r="B28" s="63">
        <f>(B27+Параметры!$B$1)+B27*(Параметры!$B$2/12)</f>
        <v>347879.16446695314</v>
      </c>
    </row>
    <row r="29" spans="1:2">
      <c r="A29" s="55">
        <f t="shared" si="0"/>
        <v>28</v>
      </c>
      <c r="B29" s="63">
        <f>(B28+Параметры!$B$1)+B28*(Параметры!$B$2/12)</f>
        <v>361763.50994114915</v>
      </c>
    </row>
    <row r="30" spans="1:2">
      <c r="A30" s="55">
        <f t="shared" si="0"/>
        <v>29</v>
      </c>
      <c r="B30" s="63">
        <f>(B29+Параметры!$B$1)+B29*(Параметры!$B$2/12)</f>
        <v>375723.06228666368</v>
      </c>
    </row>
    <row r="31" spans="1:2">
      <c r="A31" s="55">
        <f t="shared" si="0"/>
        <v>30</v>
      </c>
      <c r="B31" s="63">
        <f>(B30+Параметры!$B$1)+B30*(Параметры!$B$2/12)</f>
        <v>389758.22887404979</v>
      </c>
    </row>
    <row r="32" spans="1:2">
      <c r="A32" s="55">
        <f t="shared" si="0"/>
        <v>31</v>
      </c>
      <c r="B32" s="63">
        <f>(B31+Параметры!$B$1)+B31*(Параметры!$B$2/12)</f>
        <v>403869.41928045091</v>
      </c>
    </row>
    <row r="33" spans="1:2">
      <c r="A33" s="55">
        <f t="shared" si="0"/>
        <v>32</v>
      </c>
      <c r="B33" s="63">
        <f>(B32+Параметры!$B$1)+B32*(Параметры!$B$2/12)</f>
        <v>418057.04530155333</v>
      </c>
    </row>
    <row r="34" spans="1:2">
      <c r="A34" s="55">
        <f t="shared" si="0"/>
        <v>33</v>
      </c>
      <c r="B34" s="63">
        <f>(B33+Параметры!$B$1)+B33*(Параметры!$B$2/12)</f>
        <v>432321.5209636034</v>
      </c>
    </row>
    <row r="35" spans="1:2">
      <c r="A35" s="55">
        <f t="shared" si="0"/>
        <v>34</v>
      </c>
      <c r="B35" s="63">
        <f>(B34+Параметры!$B$1)+B34*(Параметры!$B$2/12)</f>
        <v>446663.26253548957</v>
      </c>
    </row>
    <row r="36" spans="1:2">
      <c r="A36" s="55">
        <f t="shared" si="0"/>
        <v>35</v>
      </c>
      <c r="B36" s="63">
        <f>(B35+Параметры!$B$1)+B35*(Параметры!$B$2/12)</f>
        <v>461082.68854089011</v>
      </c>
    </row>
    <row r="37" spans="1:2" ht="15" customHeight="1">
      <c r="A37" s="55">
        <f t="shared" si="0"/>
        <v>36</v>
      </c>
      <c r="B37" s="63">
        <f>(B36+Параметры!$B$1)+B36*(Параметры!$B$2/12)</f>
        <v>475580.21977048658</v>
      </c>
    </row>
    <row r="38" spans="1:2" ht="15.75">
      <c r="A38" s="66"/>
      <c r="B38" s="64">
        <f>(B37+B37*(Параметры!$B$2/12))</f>
        <v>478156.27929424337</v>
      </c>
    </row>
    <row r="39" spans="1:2">
      <c r="A39" s="15"/>
      <c r="B39" s="15"/>
    </row>
  </sheetData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3"/>
  <sheetViews>
    <sheetView topLeftCell="A22" workbookViewId="0">
      <selection activeCell="A52" sqref="A52"/>
    </sheetView>
  </sheetViews>
  <sheetFormatPr defaultRowHeight="15"/>
  <cols>
    <col min="1" max="1" width="16" customWidth="1"/>
    <col min="2" max="2" width="10.85546875" customWidth="1"/>
    <col min="3" max="3" width="11.140625" customWidth="1"/>
    <col min="4" max="4" width="11.28515625" customWidth="1"/>
    <col min="5" max="5" width="12.85546875" customWidth="1"/>
    <col min="6" max="6" width="12" customWidth="1"/>
    <col min="7" max="7" width="10.5703125" customWidth="1"/>
    <col min="8" max="8" width="12.5703125" customWidth="1"/>
  </cols>
  <sheetData>
    <row r="1" spans="1:8" ht="80.25" customHeight="1">
      <c r="A1" s="53" t="s">
        <v>26</v>
      </c>
      <c r="B1" s="54" t="s">
        <v>2</v>
      </c>
      <c r="C1" s="53" t="s">
        <v>1</v>
      </c>
      <c r="D1" s="53" t="s">
        <v>16</v>
      </c>
      <c r="E1" s="53" t="s">
        <v>17</v>
      </c>
      <c r="F1" s="31" t="s">
        <v>10</v>
      </c>
      <c r="G1" s="53" t="s">
        <v>4</v>
      </c>
      <c r="H1" s="53" t="s">
        <v>5</v>
      </c>
    </row>
    <row r="2" spans="1:8">
      <c r="A2" s="55">
        <v>1</v>
      </c>
      <c r="B2" s="34">
        <v>39248</v>
      </c>
      <c r="C2" s="54">
        <v>1513.19</v>
      </c>
      <c r="D2" s="56">
        <v>1.4999999999999999E-2</v>
      </c>
      <c r="E2" s="54">
        <f>ROUND(C2*(1+D2),2)</f>
        <v>1535.89</v>
      </c>
      <c r="F2" s="32">
        <f>ROUND(Параметры!$B$1/E2,5)</f>
        <v>7.8130600000000001</v>
      </c>
      <c r="G2" s="57">
        <v>2.5000000000000001E-3</v>
      </c>
      <c r="H2" s="54">
        <f t="shared" ref="H2:H37" si="0">ROUND($C$38*F2*G2,2)</f>
        <v>42.08</v>
      </c>
    </row>
    <row r="3" spans="1:8">
      <c r="A3" s="55">
        <v>2</v>
      </c>
      <c r="B3" s="34">
        <v>39279</v>
      </c>
      <c r="C3" s="54">
        <v>1645.07</v>
      </c>
      <c r="D3" s="56">
        <v>1.4999999999999999E-2</v>
      </c>
      <c r="E3" s="54">
        <f t="shared" ref="E3:E37" si="1">ROUND(C3*(1+D3),2)</f>
        <v>1669.75</v>
      </c>
      <c r="F3" s="32">
        <f>ROUND(Параметры!$B$1/E3,5)</f>
        <v>7.1867000000000001</v>
      </c>
      <c r="G3" s="57">
        <v>2.5000000000000001E-3</v>
      </c>
      <c r="H3" s="54">
        <f t="shared" si="0"/>
        <v>38.71</v>
      </c>
    </row>
    <row r="4" spans="1:8">
      <c r="A4" s="55">
        <v>3</v>
      </c>
      <c r="B4" s="34">
        <v>39309</v>
      </c>
      <c r="C4" s="54">
        <v>1552.04</v>
      </c>
      <c r="D4" s="56">
        <v>1.4999999999999999E-2</v>
      </c>
      <c r="E4" s="54">
        <f t="shared" si="1"/>
        <v>1575.32</v>
      </c>
      <c r="F4" s="32">
        <f>ROUND(Параметры!$B$1/E4,5)</f>
        <v>7.6174999999999997</v>
      </c>
      <c r="G4" s="57">
        <v>2.5000000000000001E-3</v>
      </c>
      <c r="H4" s="54">
        <f t="shared" si="0"/>
        <v>41.03</v>
      </c>
    </row>
    <row r="5" spans="1:8">
      <c r="A5" s="55">
        <v>4</v>
      </c>
      <c r="B5" s="34">
        <v>39342</v>
      </c>
      <c r="C5" s="54">
        <v>1510.42</v>
      </c>
      <c r="D5" s="56">
        <v>1.4999999999999999E-2</v>
      </c>
      <c r="E5" s="54">
        <f t="shared" si="1"/>
        <v>1533.08</v>
      </c>
      <c r="F5" s="32">
        <f>ROUND(Параметры!$B$1/E5,5)</f>
        <v>7.8273799999999998</v>
      </c>
      <c r="G5" s="57">
        <v>2.5000000000000001E-3</v>
      </c>
      <c r="H5" s="54">
        <f t="shared" si="0"/>
        <v>42.16</v>
      </c>
    </row>
    <row r="6" spans="1:8">
      <c r="A6" s="55">
        <v>5</v>
      </c>
      <c r="B6" s="34">
        <v>39370</v>
      </c>
      <c r="C6" s="54">
        <v>1696.84</v>
      </c>
      <c r="D6" s="56">
        <v>1.4999999999999999E-2</v>
      </c>
      <c r="E6" s="54">
        <f t="shared" si="1"/>
        <v>1722.29</v>
      </c>
      <c r="F6" s="32">
        <f>ROUND(Параметры!$B$1/E6,5)</f>
        <v>6.9674699999999996</v>
      </c>
      <c r="G6" s="57">
        <v>2.5000000000000001E-3</v>
      </c>
      <c r="H6" s="54">
        <f t="shared" si="0"/>
        <v>37.53</v>
      </c>
    </row>
    <row r="7" spans="1:8">
      <c r="A7" s="55">
        <v>6</v>
      </c>
      <c r="B7" s="34">
        <v>39401</v>
      </c>
      <c r="C7" s="54">
        <v>1782.55</v>
      </c>
      <c r="D7" s="56">
        <v>1.4999999999999999E-2</v>
      </c>
      <c r="E7" s="54">
        <f t="shared" si="1"/>
        <v>1809.29</v>
      </c>
      <c r="F7" s="32">
        <f>ROUND(Параметры!$B$1/E7,5)</f>
        <v>6.6324399999999999</v>
      </c>
      <c r="G7" s="57">
        <v>2.5000000000000001E-3</v>
      </c>
      <c r="H7" s="54">
        <f t="shared" si="0"/>
        <v>35.72</v>
      </c>
    </row>
    <row r="8" spans="1:8">
      <c r="A8" s="55">
        <v>7</v>
      </c>
      <c r="B8" s="34">
        <v>39433</v>
      </c>
      <c r="C8" s="54">
        <v>1772.76</v>
      </c>
      <c r="D8" s="56">
        <v>1.4999999999999999E-2</v>
      </c>
      <c r="E8" s="54">
        <f t="shared" si="1"/>
        <v>1799.35</v>
      </c>
      <c r="F8" s="32">
        <f>ROUND(Параметры!$B$1/E8,5)</f>
        <v>6.6690699999999996</v>
      </c>
      <c r="G8" s="57">
        <v>2.5000000000000001E-3</v>
      </c>
      <c r="H8" s="54">
        <f t="shared" si="0"/>
        <v>35.92</v>
      </c>
    </row>
    <row r="9" spans="1:8">
      <c r="A9" s="55">
        <v>8</v>
      </c>
      <c r="B9" s="34">
        <v>39462</v>
      </c>
      <c r="C9" s="54">
        <v>1832.82</v>
      </c>
      <c r="D9" s="56">
        <v>1.4999999999999999E-2</v>
      </c>
      <c r="E9" s="54">
        <f t="shared" si="1"/>
        <v>1860.31</v>
      </c>
      <c r="F9" s="32">
        <f>ROUND(Параметры!$B$1/E9,5)</f>
        <v>6.4505400000000002</v>
      </c>
      <c r="G9" s="57">
        <v>2.5000000000000001E-3</v>
      </c>
      <c r="H9" s="54">
        <f t="shared" si="0"/>
        <v>34.74</v>
      </c>
    </row>
    <row r="10" spans="1:8">
      <c r="A10" s="55">
        <v>9</v>
      </c>
      <c r="B10" s="34">
        <v>39493</v>
      </c>
      <c r="C10" s="54">
        <v>1732.13</v>
      </c>
      <c r="D10" s="56">
        <v>1.4999999999999999E-2</v>
      </c>
      <c r="E10" s="54">
        <f t="shared" si="1"/>
        <v>1758.11</v>
      </c>
      <c r="F10" s="32">
        <f>ROUND(Параметры!$B$1/E10,5)</f>
        <v>6.8255100000000004</v>
      </c>
      <c r="G10" s="57">
        <v>2.5000000000000001E-3</v>
      </c>
      <c r="H10" s="54">
        <f t="shared" si="0"/>
        <v>36.76</v>
      </c>
    </row>
    <row r="11" spans="1:8">
      <c r="A11" s="55">
        <v>10</v>
      </c>
      <c r="B11" s="34">
        <v>39524</v>
      </c>
      <c r="C11" s="54">
        <v>1681.17</v>
      </c>
      <c r="D11" s="56">
        <v>1.4999999999999999E-2</v>
      </c>
      <c r="E11" s="54">
        <f t="shared" si="1"/>
        <v>1706.39</v>
      </c>
      <c r="F11" s="32">
        <f>ROUND(Параметры!$B$1/E11,5)</f>
        <v>7.0323900000000004</v>
      </c>
      <c r="G11" s="57">
        <v>2.5000000000000001E-3</v>
      </c>
      <c r="H11" s="54">
        <f t="shared" si="0"/>
        <v>37.880000000000003</v>
      </c>
    </row>
    <row r="12" spans="1:8">
      <c r="A12" s="55">
        <v>11</v>
      </c>
      <c r="B12" s="34">
        <v>39553</v>
      </c>
      <c r="C12" s="54">
        <v>1782.33</v>
      </c>
      <c r="D12" s="56">
        <v>1.4999999999999999E-2</v>
      </c>
      <c r="E12" s="54">
        <f t="shared" si="1"/>
        <v>1809.06</v>
      </c>
      <c r="F12" s="32">
        <f>ROUND(Параметры!$B$1/E12,5)</f>
        <v>6.6332800000000001</v>
      </c>
      <c r="G12" s="57">
        <v>2.5000000000000001E-3</v>
      </c>
      <c r="H12" s="54">
        <f t="shared" si="0"/>
        <v>35.729999999999997</v>
      </c>
    </row>
    <row r="13" spans="1:8">
      <c r="A13" s="55">
        <v>12</v>
      </c>
      <c r="B13" s="34">
        <v>39583</v>
      </c>
      <c r="C13" s="54">
        <v>1961.11</v>
      </c>
      <c r="D13" s="56">
        <v>1.4999999999999999E-2</v>
      </c>
      <c r="E13" s="54">
        <f t="shared" si="1"/>
        <v>1990.53</v>
      </c>
      <c r="F13" s="32">
        <f>ROUND(Параметры!$B$1/E13,5)</f>
        <v>6.0285500000000001</v>
      </c>
      <c r="G13" s="57">
        <v>2.5000000000000001E-3</v>
      </c>
      <c r="H13" s="54">
        <f t="shared" si="0"/>
        <v>32.47</v>
      </c>
    </row>
    <row r="14" spans="1:8">
      <c r="A14" s="55">
        <v>13</v>
      </c>
      <c r="B14" s="34">
        <v>39615</v>
      </c>
      <c r="C14" s="54">
        <v>1934.58</v>
      </c>
      <c r="D14" s="56">
        <v>1.4999999999999999E-2</v>
      </c>
      <c r="E14" s="54">
        <f t="shared" si="1"/>
        <v>1963.6</v>
      </c>
      <c r="F14" s="32">
        <f>ROUND(Параметры!$B$1/E14,5)</f>
        <v>6.1112200000000003</v>
      </c>
      <c r="G14" s="57">
        <v>2.5000000000000001E-3</v>
      </c>
      <c r="H14" s="54">
        <f t="shared" si="0"/>
        <v>32.909999999999997</v>
      </c>
    </row>
    <row r="15" spans="1:8">
      <c r="A15" s="55">
        <v>14</v>
      </c>
      <c r="B15" s="34">
        <v>39644</v>
      </c>
      <c r="C15" s="54">
        <v>1737.92</v>
      </c>
      <c r="D15" s="56">
        <v>1.4999999999999999E-2</v>
      </c>
      <c r="E15" s="54">
        <f t="shared" si="1"/>
        <v>1763.99</v>
      </c>
      <c r="F15" s="32">
        <f>ROUND(Параметры!$B$1/E15,5)</f>
        <v>6.8027600000000001</v>
      </c>
      <c r="G15" s="57">
        <v>2.5000000000000001E-3</v>
      </c>
      <c r="H15" s="54">
        <f t="shared" si="0"/>
        <v>36.64</v>
      </c>
    </row>
    <row r="16" spans="1:8">
      <c r="A16" s="55">
        <v>15</v>
      </c>
      <c r="B16" s="34">
        <v>39675</v>
      </c>
      <c r="C16" s="54">
        <v>1535.05</v>
      </c>
      <c r="D16" s="56">
        <v>1.4999999999999999E-2</v>
      </c>
      <c r="E16" s="54">
        <f t="shared" si="1"/>
        <v>1558.08</v>
      </c>
      <c r="F16" s="32">
        <f>ROUND(Параметры!$B$1/E16,5)</f>
        <v>7.7017899999999999</v>
      </c>
      <c r="G16" s="57">
        <v>2.5000000000000001E-3</v>
      </c>
      <c r="H16" s="54">
        <f t="shared" si="0"/>
        <v>41.48</v>
      </c>
    </row>
    <row r="17" spans="1:8">
      <c r="A17" s="55">
        <v>16</v>
      </c>
      <c r="B17" s="34">
        <v>39706</v>
      </c>
      <c r="C17" s="54">
        <v>1125.8</v>
      </c>
      <c r="D17" s="56">
        <v>1.4999999999999999E-2</v>
      </c>
      <c r="E17" s="54">
        <f t="shared" si="1"/>
        <v>1142.69</v>
      </c>
      <c r="F17" s="32">
        <f>ROUND(Параметры!$B$1/E17,5)</f>
        <v>10.50154</v>
      </c>
      <c r="G17" s="57">
        <v>2.5000000000000001E-3</v>
      </c>
      <c r="H17" s="54">
        <f t="shared" si="0"/>
        <v>56.56</v>
      </c>
    </row>
    <row r="18" spans="1:8">
      <c r="A18" s="55">
        <v>17</v>
      </c>
      <c r="B18" s="34">
        <v>39736</v>
      </c>
      <c r="C18" s="54">
        <v>682.73</v>
      </c>
      <c r="D18" s="56">
        <v>1.4999999999999999E-2</v>
      </c>
      <c r="E18" s="54">
        <f t="shared" si="1"/>
        <v>692.97</v>
      </c>
      <c r="F18" s="32">
        <f>ROUND(Параметры!$B$1/E18,5)</f>
        <v>17.316770000000002</v>
      </c>
      <c r="G18" s="57">
        <v>2.5000000000000001E-3</v>
      </c>
      <c r="H18" s="54">
        <f t="shared" si="0"/>
        <v>93.27</v>
      </c>
    </row>
    <row r="19" spans="1:8">
      <c r="A19" s="55">
        <v>18</v>
      </c>
      <c r="B19" s="34">
        <v>39769</v>
      </c>
      <c r="C19" s="54">
        <v>501.9</v>
      </c>
      <c r="D19" s="56">
        <v>1.4999999999999999E-2</v>
      </c>
      <c r="E19" s="54">
        <f t="shared" si="1"/>
        <v>509.43</v>
      </c>
      <c r="F19" s="32">
        <f>ROUND(Параметры!$B$1/E19,5)</f>
        <v>23.55574</v>
      </c>
      <c r="G19" s="57">
        <v>2.5000000000000001E-3</v>
      </c>
      <c r="H19" s="54">
        <f t="shared" si="0"/>
        <v>126.87</v>
      </c>
    </row>
    <row r="20" spans="1:8">
      <c r="A20" s="55">
        <v>19</v>
      </c>
      <c r="B20" s="34">
        <v>39797</v>
      </c>
      <c r="C20" s="54">
        <v>575.82000000000005</v>
      </c>
      <c r="D20" s="56">
        <v>1.4999999999999999E-2</v>
      </c>
      <c r="E20" s="54">
        <f t="shared" si="1"/>
        <v>584.46</v>
      </c>
      <c r="F20" s="32">
        <f>ROUND(Параметры!$B$1/E20,5)</f>
        <v>20.531770000000002</v>
      </c>
      <c r="G20" s="57">
        <v>2.5000000000000001E-3</v>
      </c>
      <c r="H20" s="54">
        <f t="shared" si="0"/>
        <v>110.58</v>
      </c>
    </row>
    <row r="21" spans="1:8">
      <c r="A21" s="55">
        <v>20</v>
      </c>
      <c r="B21" s="34">
        <v>39828</v>
      </c>
      <c r="C21" s="54">
        <v>549.98</v>
      </c>
      <c r="D21" s="56">
        <v>1.4999999999999999E-2</v>
      </c>
      <c r="E21" s="54">
        <f t="shared" si="1"/>
        <v>558.23</v>
      </c>
      <c r="F21" s="32">
        <f>ROUND(Параметры!$B$1/E21,5)</f>
        <v>21.49652</v>
      </c>
      <c r="G21" s="57">
        <v>2.5000000000000001E-3</v>
      </c>
      <c r="H21" s="54">
        <f t="shared" si="0"/>
        <v>115.78</v>
      </c>
    </row>
    <row r="22" spans="1:8">
      <c r="A22" s="55">
        <v>21</v>
      </c>
      <c r="B22" s="34">
        <v>39860</v>
      </c>
      <c r="C22" s="54">
        <v>663.05</v>
      </c>
      <c r="D22" s="56">
        <v>1.4999999999999999E-2</v>
      </c>
      <c r="E22" s="54">
        <f t="shared" si="1"/>
        <v>673</v>
      </c>
      <c r="F22" s="32">
        <f>ROUND(Параметры!$B$1/E22,5)</f>
        <v>17.83061</v>
      </c>
      <c r="G22" s="57">
        <v>2.5000000000000001E-3</v>
      </c>
      <c r="H22" s="54">
        <f t="shared" si="0"/>
        <v>96.03</v>
      </c>
    </row>
    <row r="23" spans="1:8">
      <c r="A23" s="55">
        <v>22</v>
      </c>
      <c r="B23" s="34">
        <v>39888</v>
      </c>
      <c r="C23" s="54">
        <v>673.76</v>
      </c>
      <c r="D23" s="56">
        <v>1.4999999999999999E-2</v>
      </c>
      <c r="E23" s="54">
        <f t="shared" si="1"/>
        <v>683.87</v>
      </c>
      <c r="F23" s="32">
        <f>ROUND(Параметры!$B$1/E23,5)</f>
        <v>17.547190000000001</v>
      </c>
      <c r="G23" s="57">
        <v>2.5000000000000001E-3</v>
      </c>
      <c r="H23" s="54">
        <f t="shared" si="0"/>
        <v>94.51</v>
      </c>
    </row>
    <row r="24" spans="1:8">
      <c r="A24" s="55">
        <v>23</v>
      </c>
      <c r="B24" s="34">
        <v>39918</v>
      </c>
      <c r="C24" s="54">
        <v>947.12</v>
      </c>
      <c r="D24" s="56">
        <v>1.4999999999999999E-2</v>
      </c>
      <c r="E24" s="54">
        <f t="shared" si="1"/>
        <v>961.33</v>
      </c>
      <c r="F24" s="32">
        <f>ROUND(Параметры!$B$1/E24,5)</f>
        <v>12.482710000000001</v>
      </c>
      <c r="G24" s="57">
        <v>2.5000000000000001E-3</v>
      </c>
      <c r="H24" s="54">
        <f t="shared" si="0"/>
        <v>67.23</v>
      </c>
    </row>
    <row r="25" spans="1:8">
      <c r="A25" s="55">
        <v>24</v>
      </c>
      <c r="B25" s="34">
        <v>39948</v>
      </c>
      <c r="C25" s="54">
        <v>1137.1199999999999</v>
      </c>
      <c r="D25" s="56">
        <v>1.4999999999999999E-2</v>
      </c>
      <c r="E25" s="54">
        <f t="shared" si="1"/>
        <v>1154.18</v>
      </c>
      <c r="F25" s="32">
        <f>ROUND(Параметры!$B$1/E25,5)</f>
        <v>10.396990000000001</v>
      </c>
      <c r="G25" s="57">
        <v>2.5000000000000001E-3</v>
      </c>
      <c r="H25" s="54">
        <f t="shared" si="0"/>
        <v>56</v>
      </c>
    </row>
    <row r="26" spans="1:8">
      <c r="A26" s="55">
        <v>25</v>
      </c>
      <c r="B26" s="34">
        <v>39979</v>
      </c>
      <c r="C26" s="54">
        <v>1264.32</v>
      </c>
      <c r="D26" s="56">
        <v>1.4999999999999999E-2</v>
      </c>
      <c r="E26" s="54">
        <f t="shared" si="1"/>
        <v>1283.28</v>
      </c>
      <c r="F26" s="32">
        <f>ROUND(Параметры!$B$1/E26,5)</f>
        <v>9.3510399999999994</v>
      </c>
      <c r="G26" s="57">
        <v>2.5000000000000001E-3</v>
      </c>
      <c r="H26" s="54">
        <f t="shared" si="0"/>
        <v>50.36</v>
      </c>
    </row>
    <row r="27" spans="1:8">
      <c r="A27" s="55">
        <v>26</v>
      </c>
      <c r="B27" s="34">
        <v>40009</v>
      </c>
      <c r="C27" s="54">
        <v>1044.3399999999999</v>
      </c>
      <c r="D27" s="56">
        <v>1.4999999999999999E-2</v>
      </c>
      <c r="E27" s="54">
        <f t="shared" si="1"/>
        <v>1060.01</v>
      </c>
      <c r="F27" s="32">
        <f>ROUND(Параметры!$B$1/E27,5)</f>
        <v>11.320650000000001</v>
      </c>
      <c r="G27" s="57">
        <v>5.0000000000000001E-3</v>
      </c>
      <c r="H27" s="54">
        <f t="shared" si="0"/>
        <v>121.94</v>
      </c>
    </row>
    <row r="28" spans="1:8">
      <c r="A28" s="55">
        <v>27</v>
      </c>
      <c r="B28" s="34">
        <v>40042</v>
      </c>
      <c r="C28" s="54">
        <v>1216.47</v>
      </c>
      <c r="D28" s="56">
        <v>1.4999999999999999E-2</v>
      </c>
      <c r="E28" s="54">
        <f t="shared" si="1"/>
        <v>1234.72</v>
      </c>
      <c r="F28" s="32">
        <f>ROUND(Параметры!$B$1/E28,5)</f>
        <v>9.7187999999999999</v>
      </c>
      <c r="G28" s="57">
        <v>5.0000000000000001E-3</v>
      </c>
      <c r="H28" s="54">
        <f t="shared" si="0"/>
        <v>104.69</v>
      </c>
    </row>
    <row r="29" spans="1:8">
      <c r="A29" s="55">
        <v>28</v>
      </c>
      <c r="B29" s="34">
        <v>40071</v>
      </c>
      <c r="C29" s="54">
        <v>1550.23</v>
      </c>
      <c r="D29" s="56">
        <v>1.4999999999999999E-2</v>
      </c>
      <c r="E29" s="54">
        <f t="shared" si="1"/>
        <v>1573.48</v>
      </c>
      <c r="F29" s="32">
        <f>ROUND(Параметры!$B$1/E29,5)</f>
        <v>7.6264099999999999</v>
      </c>
      <c r="G29" s="57">
        <v>0.01</v>
      </c>
      <c r="H29" s="54">
        <f t="shared" si="0"/>
        <v>164.3</v>
      </c>
    </row>
    <row r="30" spans="1:8">
      <c r="A30" s="55">
        <v>29</v>
      </c>
      <c r="B30" s="34">
        <v>40101</v>
      </c>
      <c r="C30" s="54">
        <v>1947.59</v>
      </c>
      <c r="D30" s="56">
        <v>1.4999999999999999E-2</v>
      </c>
      <c r="E30" s="54">
        <f t="shared" si="1"/>
        <v>1976.8</v>
      </c>
      <c r="F30" s="32">
        <f>ROUND(Параметры!$B$1/E30,5)</f>
        <v>6.0704200000000004</v>
      </c>
      <c r="G30" s="57">
        <v>0.01</v>
      </c>
      <c r="H30" s="54">
        <f t="shared" si="0"/>
        <v>130.78</v>
      </c>
    </row>
    <row r="31" spans="1:8">
      <c r="A31" s="55">
        <v>30</v>
      </c>
      <c r="B31" s="34">
        <v>40133</v>
      </c>
      <c r="C31" s="54">
        <v>1949.41</v>
      </c>
      <c r="D31" s="56">
        <v>1.4999999999999999E-2</v>
      </c>
      <c r="E31" s="54">
        <f t="shared" si="1"/>
        <v>1978.65</v>
      </c>
      <c r="F31" s="32">
        <f>ROUND(Параметры!$B$1/E31,5)</f>
        <v>6.0647399999999996</v>
      </c>
      <c r="G31" s="57">
        <v>0.01</v>
      </c>
      <c r="H31" s="54">
        <f t="shared" si="0"/>
        <v>130.66</v>
      </c>
    </row>
    <row r="32" spans="1:8">
      <c r="A32" s="55">
        <v>31</v>
      </c>
      <c r="B32" s="34">
        <v>40162</v>
      </c>
      <c r="C32" s="54">
        <v>1915.16</v>
      </c>
      <c r="D32" s="56">
        <v>1.4999999999999999E-2</v>
      </c>
      <c r="E32" s="54">
        <f>ROUND(C32*(1+D32),2)</f>
        <v>1943.89</v>
      </c>
      <c r="F32" s="32">
        <f>ROUND(Параметры!$B$1/E32,5)</f>
        <v>6.17319</v>
      </c>
      <c r="G32" s="57">
        <v>1.4999999999999999E-2</v>
      </c>
      <c r="H32" s="54">
        <f t="shared" si="0"/>
        <v>199.49</v>
      </c>
    </row>
    <row r="33" spans="1:8">
      <c r="A33" s="55">
        <v>32</v>
      </c>
      <c r="B33" s="34">
        <v>40193</v>
      </c>
      <c r="C33" s="54">
        <v>2176.48</v>
      </c>
      <c r="D33" s="56">
        <v>1.4999999999999999E-2</v>
      </c>
      <c r="E33" s="54">
        <f t="shared" si="1"/>
        <v>2209.13</v>
      </c>
      <c r="F33" s="32">
        <f>ROUND(Параметры!$B$1/E33,5)</f>
        <v>5.4320000000000004</v>
      </c>
      <c r="G33" s="57">
        <v>1.4999999999999999E-2</v>
      </c>
      <c r="H33" s="54">
        <f t="shared" si="0"/>
        <v>175.54</v>
      </c>
    </row>
    <row r="34" spans="1:8">
      <c r="A34" s="55">
        <v>33</v>
      </c>
      <c r="B34" s="34">
        <v>40224</v>
      </c>
      <c r="C34" s="54">
        <v>2166.0700000000002</v>
      </c>
      <c r="D34" s="56">
        <v>1.4999999999999999E-2</v>
      </c>
      <c r="E34" s="54">
        <f t="shared" si="1"/>
        <v>2198.56</v>
      </c>
      <c r="F34" s="32">
        <f>ROUND(Параметры!$B$1/E34,5)</f>
        <v>5.4581200000000001</v>
      </c>
      <c r="G34" s="57">
        <v>1.4999999999999999E-2</v>
      </c>
      <c r="H34" s="54">
        <f t="shared" si="0"/>
        <v>176.38</v>
      </c>
    </row>
    <row r="35" spans="1:8">
      <c r="A35" s="55">
        <v>34</v>
      </c>
      <c r="B35" s="34">
        <v>40252</v>
      </c>
      <c r="C35" s="54">
        <v>2333.29</v>
      </c>
      <c r="D35" s="56">
        <v>1.4999999999999999E-2</v>
      </c>
      <c r="E35" s="54">
        <f t="shared" si="1"/>
        <v>2368.29</v>
      </c>
      <c r="F35" s="32">
        <f>ROUND(Параметры!$B$1/E35,5)</f>
        <v>5.0669500000000003</v>
      </c>
      <c r="G35" s="57">
        <v>0.02</v>
      </c>
      <c r="H35" s="54">
        <f t="shared" si="0"/>
        <v>218.32</v>
      </c>
    </row>
    <row r="36" spans="1:8">
      <c r="A36" s="55">
        <v>35</v>
      </c>
      <c r="B36" s="34">
        <v>40283</v>
      </c>
      <c r="C36" s="54">
        <v>2646.61</v>
      </c>
      <c r="D36" s="56">
        <v>1.4999999999999999E-2</v>
      </c>
      <c r="E36" s="54">
        <f t="shared" si="1"/>
        <v>2686.31</v>
      </c>
      <c r="F36" s="32">
        <f>ROUND(Параметры!$B$1/E36,5)</f>
        <v>4.4670899999999998</v>
      </c>
      <c r="G36" s="57">
        <v>0.02</v>
      </c>
      <c r="H36" s="54">
        <f t="shared" si="0"/>
        <v>192.48</v>
      </c>
    </row>
    <row r="37" spans="1:8">
      <c r="A37" s="55">
        <v>36</v>
      </c>
      <c r="B37" s="34">
        <v>40315</v>
      </c>
      <c r="C37" s="54">
        <v>2196.0300000000002</v>
      </c>
      <c r="D37" s="56">
        <v>1.4999999999999999E-2</v>
      </c>
      <c r="E37" s="54">
        <f t="shared" si="1"/>
        <v>2228.9699999999998</v>
      </c>
      <c r="F37" s="32">
        <f>ROUND(Параметры!$B$1/E37,5)</f>
        <v>5.3836500000000003</v>
      </c>
      <c r="G37" s="57">
        <v>0.02</v>
      </c>
      <c r="H37" s="54">
        <f t="shared" si="0"/>
        <v>231.97</v>
      </c>
    </row>
    <row r="38" spans="1:8">
      <c r="B38" s="34">
        <v>40344</v>
      </c>
      <c r="C38" s="54">
        <v>2154.37</v>
      </c>
      <c r="D38" s="4"/>
      <c r="E38" s="3"/>
      <c r="F38" s="6"/>
      <c r="G38" s="6"/>
      <c r="H38" s="3"/>
    </row>
    <row r="39" spans="1:8" ht="15.75" thickBot="1">
      <c r="B39" s="3"/>
      <c r="C39" s="3"/>
      <c r="D39" s="4"/>
      <c r="E39" s="3"/>
      <c r="F39" s="6"/>
      <c r="G39" s="6"/>
      <c r="H39" s="3"/>
    </row>
    <row r="40" spans="1:8">
      <c r="B40" s="36" t="s">
        <v>6</v>
      </c>
      <c r="C40" s="37"/>
      <c r="D40" s="38"/>
      <c r="E40" s="39"/>
      <c r="F40" s="6"/>
      <c r="G40" s="6"/>
      <c r="H40" s="3"/>
    </row>
    <row r="41" spans="1:8">
      <c r="B41" s="40" t="s">
        <v>3</v>
      </c>
      <c r="C41" s="6"/>
      <c r="D41" s="16"/>
      <c r="E41" s="43">
        <f>SUM(F2:F38)</f>
        <v>338.09255999999999</v>
      </c>
      <c r="F41" s="6"/>
      <c r="G41" s="6"/>
      <c r="H41" s="3"/>
    </row>
    <row r="42" spans="1:8" ht="15.75" thickBot="1">
      <c r="B42" s="42" t="s">
        <v>7</v>
      </c>
      <c r="C42" s="18"/>
      <c r="D42" s="17"/>
      <c r="E42" s="44">
        <f>ROUND(E41*C38,2)</f>
        <v>728376.47</v>
      </c>
      <c r="F42" s="6"/>
      <c r="G42" s="6"/>
      <c r="H42" s="3"/>
    </row>
    <row r="43" spans="1:8">
      <c r="B43" s="41" t="s">
        <v>8</v>
      </c>
      <c r="C43" s="6"/>
      <c r="D43" s="16"/>
      <c r="E43" s="45"/>
      <c r="F43" s="6"/>
      <c r="G43" s="6"/>
      <c r="H43" s="3"/>
    </row>
    <row r="44" spans="1:8">
      <c r="B44" s="40" t="s">
        <v>4</v>
      </c>
      <c r="C44" s="6"/>
      <c r="D44" s="16"/>
      <c r="E44" s="45">
        <f>SUM(H2:H37)</f>
        <v>3275.4999999999995</v>
      </c>
      <c r="F44" s="6"/>
      <c r="G44" s="6"/>
      <c r="H44" s="3"/>
    </row>
    <row r="45" spans="1:8">
      <c r="B45" s="40" t="s">
        <v>9</v>
      </c>
      <c r="C45" s="6"/>
      <c r="D45" s="16"/>
      <c r="E45" s="45">
        <f>ROUND((E42-E44-Параметры!$B$1*36)*0.13,2)</f>
        <v>38103.129999999997</v>
      </c>
      <c r="F45" s="6"/>
      <c r="G45" s="6"/>
      <c r="H45" s="3"/>
    </row>
    <row r="46" spans="1:8" ht="16.5" thickBot="1">
      <c r="B46" s="58" t="s">
        <v>20</v>
      </c>
      <c r="C46" s="59"/>
      <c r="D46" s="60"/>
      <c r="E46" s="61">
        <f>E42-E44-E45</f>
        <v>686997.84</v>
      </c>
      <c r="F46" s="6"/>
      <c r="G46" s="6"/>
      <c r="H46" s="3"/>
    </row>
    <row r="49" spans="2:2" ht="15.75">
      <c r="B49" s="7" t="s">
        <v>14</v>
      </c>
    </row>
    <row r="50" spans="2:2">
      <c r="B50" s="5" t="s">
        <v>12</v>
      </c>
    </row>
    <row r="51" spans="2:2">
      <c r="B51" s="5" t="s">
        <v>13</v>
      </c>
    </row>
    <row r="52" spans="2:2">
      <c r="B52" s="5" t="s">
        <v>11</v>
      </c>
    </row>
    <row r="53" spans="2:2">
      <c r="B53" s="5" t="s">
        <v>15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53"/>
  <sheetViews>
    <sheetView topLeftCell="A31" workbookViewId="0">
      <selection activeCell="D1" sqref="D1"/>
    </sheetView>
  </sheetViews>
  <sheetFormatPr defaultRowHeight="15"/>
  <cols>
    <col min="1" max="1" width="10.5703125" customWidth="1"/>
    <col min="2" max="2" width="11.28515625" customWidth="1"/>
    <col min="3" max="3" width="12.28515625" customWidth="1"/>
    <col min="4" max="4" width="12.85546875" customWidth="1"/>
    <col min="5" max="5" width="13" customWidth="1"/>
    <col min="6" max="6" width="12.7109375" customWidth="1"/>
    <col min="7" max="7" width="13" customWidth="1"/>
    <col min="8" max="8" width="10.140625" customWidth="1"/>
  </cols>
  <sheetData>
    <row r="1" spans="1:8" ht="67.5" customHeight="1">
      <c r="A1" s="31" t="s">
        <v>26</v>
      </c>
      <c r="B1" s="32" t="s">
        <v>2</v>
      </c>
      <c r="C1" s="31" t="s">
        <v>1</v>
      </c>
      <c r="D1" s="31" t="s">
        <v>16</v>
      </c>
      <c r="E1" s="31" t="s">
        <v>17</v>
      </c>
      <c r="F1" s="31" t="s">
        <v>10</v>
      </c>
      <c r="G1" s="31" t="s">
        <v>4</v>
      </c>
      <c r="H1" s="31" t="s">
        <v>5</v>
      </c>
    </row>
    <row r="2" spans="1:8" ht="13.5" customHeight="1">
      <c r="A2" s="33">
        <v>1</v>
      </c>
      <c r="B2" s="19"/>
      <c r="C2" s="20"/>
      <c r="D2" s="20"/>
      <c r="E2" s="20"/>
      <c r="F2" s="21"/>
      <c r="G2" s="20"/>
      <c r="H2" s="20"/>
    </row>
    <row r="3" spans="1:8" ht="13.5" customHeight="1">
      <c r="A3" s="33">
        <v>2</v>
      </c>
      <c r="B3" s="22"/>
      <c r="C3" s="20"/>
      <c r="D3" s="20"/>
      <c r="E3" s="20"/>
      <c r="F3" s="21"/>
      <c r="G3" s="20"/>
      <c r="H3" s="20"/>
    </row>
    <row r="4" spans="1:8" ht="15" customHeight="1">
      <c r="A4" s="33">
        <v>3</v>
      </c>
      <c r="B4" s="23">
        <v>39258</v>
      </c>
      <c r="C4" s="21">
        <v>1002.02</v>
      </c>
      <c r="D4" s="24">
        <v>1.4999999999999999E-2</v>
      </c>
      <c r="E4" s="21">
        <f>ROUND(C4*(1+D4),2)</f>
        <v>1017.05</v>
      </c>
      <c r="F4" s="21">
        <f>ROUND(Параметры!$B$1*3/E4,5)</f>
        <v>35.39649</v>
      </c>
      <c r="G4" s="25">
        <v>2.5000000000000001E-3</v>
      </c>
      <c r="H4" s="21">
        <f>ROUND($C$38*F4*G4,2)</f>
        <v>151.02000000000001</v>
      </c>
    </row>
    <row r="5" spans="1:8">
      <c r="A5" s="33">
        <v>4</v>
      </c>
      <c r="B5" s="19"/>
      <c r="C5" s="20"/>
      <c r="D5" s="20"/>
      <c r="E5" s="20"/>
      <c r="F5" s="21"/>
      <c r="G5" s="25"/>
      <c r="H5" s="20"/>
    </row>
    <row r="6" spans="1:8">
      <c r="A6" s="33">
        <v>5</v>
      </c>
      <c r="B6" s="19"/>
      <c r="C6" s="20"/>
      <c r="D6" s="20"/>
      <c r="E6" s="20"/>
      <c r="F6" s="21"/>
      <c r="G6" s="25"/>
      <c r="H6" s="20"/>
    </row>
    <row r="7" spans="1:8">
      <c r="A7" s="33">
        <v>6</v>
      </c>
      <c r="B7" s="26">
        <v>39349</v>
      </c>
      <c r="C7" s="27">
        <v>1036.3900000000001</v>
      </c>
      <c r="D7" s="24">
        <v>1.4999999999999999E-2</v>
      </c>
      <c r="E7" s="21">
        <f>ROUND(C7*(1+D7),2)</f>
        <v>1051.94</v>
      </c>
      <c r="F7" s="21">
        <f>ROUND(Параметры!$B$1*3/E7,5)</f>
        <v>34.222479999999997</v>
      </c>
      <c r="G7" s="25">
        <v>2.5000000000000001E-3</v>
      </c>
      <c r="H7" s="21">
        <f>ROUND($C$38*F7*G7,2)</f>
        <v>146.01</v>
      </c>
    </row>
    <row r="8" spans="1:8">
      <c r="A8" s="33">
        <v>7</v>
      </c>
      <c r="B8" s="19"/>
      <c r="C8" s="20"/>
      <c r="D8" s="20"/>
      <c r="E8" s="20"/>
      <c r="F8" s="21"/>
      <c r="G8" s="25"/>
      <c r="H8" s="20"/>
    </row>
    <row r="9" spans="1:8">
      <c r="A9" s="33">
        <v>8</v>
      </c>
      <c r="B9" s="22"/>
      <c r="C9" s="20"/>
      <c r="D9" s="20"/>
      <c r="E9" s="20"/>
      <c r="F9" s="21"/>
      <c r="G9" s="25"/>
      <c r="H9" s="20"/>
    </row>
    <row r="10" spans="1:8">
      <c r="A10" s="33">
        <v>9</v>
      </c>
      <c r="B10" s="23">
        <v>39440</v>
      </c>
      <c r="C10" s="21">
        <v>1220.4749999999999</v>
      </c>
      <c r="D10" s="24">
        <v>1.4999999999999999E-2</v>
      </c>
      <c r="E10" s="21">
        <f>ROUND(C10*(1+D10),2)</f>
        <v>1238.78</v>
      </c>
      <c r="F10" s="21">
        <f>ROUND(Параметры!$B$1*3/E10,5)</f>
        <v>29.060849999999999</v>
      </c>
      <c r="G10" s="25">
        <v>2.5000000000000001E-3</v>
      </c>
      <c r="H10" s="21">
        <f>ROUND($C$38*F10*G10,2)</f>
        <v>123.99</v>
      </c>
    </row>
    <row r="11" spans="1:8">
      <c r="A11" s="33">
        <v>10</v>
      </c>
      <c r="B11" s="19"/>
      <c r="C11" s="20"/>
      <c r="D11" s="20"/>
      <c r="E11" s="20"/>
      <c r="F11" s="21"/>
      <c r="G11" s="25"/>
      <c r="H11" s="20"/>
    </row>
    <row r="12" spans="1:8">
      <c r="A12" s="33">
        <v>11</v>
      </c>
      <c r="B12" s="19"/>
      <c r="C12" s="20"/>
      <c r="D12" s="20"/>
      <c r="E12" s="20"/>
      <c r="F12" s="21"/>
      <c r="G12" s="25"/>
      <c r="H12" s="20"/>
    </row>
    <row r="13" spans="1:8">
      <c r="A13" s="33">
        <v>12</v>
      </c>
      <c r="B13" s="26">
        <v>39531</v>
      </c>
      <c r="C13" s="27">
        <v>1158.75</v>
      </c>
      <c r="D13" s="24">
        <v>1.4999999999999999E-2</v>
      </c>
      <c r="E13" s="21">
        <f>ROUND(C13*(1+D13),2)</f>
        <v>1176.1300000000001</v>
      </c>
      <c r="F13" s="21">
        <f>ROUND(Параметры!$B$1*3/E13,5)</f>
        <v>30.60886</v>
      </c>
      <c r="G13" s="25">
        <v>2.5000000000000001E-3</v>
      </c>
      <c r="H13" s="21">
        <f>ROUND($C$38*F13*G13,2)</f>
        <v>130.59</v>
      </c>
    </row>
    <row r="14" spans="1:8">
      <c r="A14" s="33">
        <v>13</v>
      </c>
      <c r="B14" s="19"/>
      <c r="C14" s="20"/>
      <c r="D14" s="20"/>
      <c r="E14" s="20"/>
      <c r="F14" s="21"/>
      <c r="G14" s="25"/>
      <c r="H14" s="20"/>
    </row>
    <row r="15" spans="1:8">
      <c r="A15" s="33">
        <v>14</v>
      </c>
      <c r="B15" s="22"/>
      <c r="C15" s="20"/>
      <c r="D15" s="20"/>
      <c r="E15" s="20"/>
      <c r="F15" s="21"/>
      <c r="G15" s="25"/>
      <c r="H15" s="20"/>
    </row>
    <row r="16" spans="1:8">
      <c r="A16" s="33">
        <v>15</v>
      </c>
      <c r="B16" s="23">
        <v>39622</v>
      </c>
      <c r="C16" s="21">
        <v>1265.57</v>
      </c>
      <c r="D16" s="24">
        <v>1.4999999999999999E-2</v>
      </c>
      <c r="E16" s="21">
        <f>ROUND(C16*(1+D16),2)</f>
        <v>1284.55</v>
      </c>
      <c r="F16" s="21">
        <f>ROUND(Параметры!$B$1*3/E16,5)</f>
        <v>28.025379999999998</v>
      </c>
      <c r="G16" s="25">
        <v>2.5000000000000001E-3</v>
      </c>
      <c r="H16" s="21">
        <f>ROUND($C$38*F16*G16,2)</f>
        <v>119.57</v>
      </c>
    </row>
    <row r="17" spans="1:8">
      <c r="A17" s="33">
        <v>16</v>
      </c>
      <c r="B17" s="19"/>
      <c r="C17" s="20"/>
      <c r="D17" s="20"/>
      <c r="E17" s="20"/>
      <c r="F17" s="21"/>
      <c r="G17" s="25"/>
      <c r="H17" s="20"/>
    </row>
    <row r="18" spans="1:8">
      <c r="A18" s="33">
        <v>17</v>
      </c>
      <c r="B18" s="19"/>
      <c r="C18" s="20"/>
      <c r="D18" s="20"/>
      <c r="E18" s="20"/>
      <c r="F18" s="21"/>
      <c r="G18" s="25"/>
      <c r="H18" s="20"/>
    </row>
    <row r="19" spans="1:8">
      <c r="A19" s="33">
        <v>18</v>
      </c>
      <c r="B19" s="26">
        <v>39714</v>
      </c>
      <c r="C19" s="27">
        <v>861.31</v>
      </c>
      <c r="D19" s="24">
        <v>1.4999999999999999E-2</v>
      </c>
      <c r="E19" s="21">
        <f>ROUND(C19*(1+D19),2)</f>
        <v>874.23</v>
      </c>
      <c r="F19" s="21">
        <f>ROUND(Параметры!$B$1*3/E19,5)</f>
        <v>41.179090000000002</v>
      </c>
      <c r="G19" s="25">
        <v>2.5000000000000001E-3</v>
      </c>
      <c r="H19" s="21">
        <f>ROUND($C$38*F19*G19,2)</f>
        <v>175.69</v>
      </c>
    </row>
    <row r="20" spans="1:8">
      <c r="A20" s="33">
        <v>19</v>
      </c>
      <c r="B20" s="19"/>
      <c r="C20" s="20"/>
      <c r="D20" s="20"/>
      <c r="E20" s="20"/>
      <c r="F20" s="21"/>
      <c r="G20" s="25"/>
      <c r="H20" s="20"/>
    </row>
    <row r="21" spans="1:8">
      <c r="A21" s="33">
        <v>20</v>
      </c>
      <c r="B21" s="22"/>
      <c r="C21" s="20"/>
      <c r="D21" s="20"/>
      <c r="E21" s="20"/>
      <c r="F21" s="21"/>
      <c r="G21" s="25"/>
      <c r="H21" s="20"/>
    </row>
    <row r="22" spans="1:8">
      <c r="A22" s="33">
        <v>21</v>
      </c>
      <c r="B22" s="23">
        <v>39805</v>
      </c>
      <c r="C22" s="21">
        <v>401.61</v>
      </c>
      <c r="D22" s="24">
        <v>1.4999999999999999E-2</v>
      </c>
      <c r="E22" s="21">
        <f>ROUND(C22*(1+D22),2)</f>
        <v>407.63</v>
      </c>
      <c r="F22" s="21">
        <f>ROUND(Параметры!$B$1*3/E22,5)</f>
        <v>88.315380000000005</v>
      </c>
      <c r="G22" s="25">
        <v>2.5000000000000001E-3</v>
      </c>
      <c r="H22" s="21">
        <f>ROUND($C$38*F22*G22,2)</f>
        <v>376.79</v>
      </c>
    </row>
    <row r="23" spans="1:8">
      <c r="A23" s="33">
        <v>22</v>
      </c>
      <c r="B23" s="19"/>
      <c r="C23" s="20"/>
      <c r="D23" s="20"/>
      <c r="E23" s="20"/>
      <c r="F23" s="21"/>
      <c r="G23" s="25"/>
      <c r="H23" s="20"/>
    </row>
    <row r="24" spans="1:8">
      <c r="A24" s="33">
        <v>23</v>
      </c>
      <c r="B24" s="19"/>
      <c r="C24" s="20"/>
      <c r="D24" s="20"/>
      <c r="E24" s="20"/>
      <c r="F24" s="21"/>
      <c r="G24" s="25"/>
      <c r="H24" s="20"/>
    </row>
    <row r="25" spans="1:8">
      <c r="A25" s="33">
        <v>24</v>
      </c>
      <c r="B25" s="26">
        <v>39895</v>
      </c>
      <c r="C25" s="27">
        <v>520.71</v>
      </c>
      <c r="D25" s="24">
        <v>1.4999999999999999E-2</v>
      </c>
      <c r="E25" s="21">
        <f>ROUND(C25*(1+D25),2)</f>
        <v>528.52</v>
      </c>
      <c r="F25" s="21">
        <f>ROUND(Параметры!$B$1*3/E25,5)</f>
        <v>68.114739999999998</v>
      </c>
      <c r="G25" s="25">
        <v>2.5000000000000001E-3</v>
      </c>
      <c r="H25" s="21">
        <f>ROUND($C$38*F25*G25,2)</f>
        <v>290.61</v>
      </c>
    </row>
    <row r="26" spans="1:8">
      <c r="A26" s="33">
        <v>25</v>
      </c>
      <c r="B26" s="19"/>
      <c r="C26" s="20"/>
      <c r="D26" s="20"/>
      <c r="E26" s="20"/>
      <c r="F26" s="21"/>
      <c r="G26" s="25"/>
      <c r="H26" s="20"/>
    </row>
    <row r="27" spans="1:8">
      <c r="A27" s="33">
        <v>26</v>
      </c>
      <c r="B27" s="22"/>
      <c r="C27" s="20"/>
      <c r="D27" s="20"/>
      <c r="E27" s="20"/>
      <c r="F27" s="21"/>
      <c r="G27" s="25"/>
      <c r="H27" s="20"/>
    </row>
    <row r="28" spans="1:8">
      <c r="A28" s="33">
        <v>27</v>
      </c>
      <c r="B28" s="28">
        <v>39987</v>
      </c>
      <c r="C28" s="21">
        <v>797.82</v>
      </c>
      <c r="D28" s="24">
        <v>1.4999999999999999E-2</v>
      </c>
      <c r="E28" s="21">
        <f>ROUND(C28*(1+D28),2)</f>
        <v>809.79</v>
      </c>
      <c r="F28" s="21">
        <f>ROUND(Параметры!$B$1*3/E28,5)</f>
        <v>44.455970000000001</v>
      </c>
      <c r="G28" s="25">
        <v>2.5000000000000001E-3</v>
      </c>
      <c r="H28" s="21">
        <f>ROUND($C$38*F28*G28,2)</f>
        <v>189.67</v>
      </c>
    </row>
    <row r="29" spans="1:8">
      <c r="A29" s="33">
        <v>28</v>
      </c>
      <c r="B29" s="19"/>
      <c r="C29" s="20"/>
      <c r="D29" s="20"/>
      <c r="E29" s="20"/>
      <c r="F29" s="21"/>
      <c r="G29" s="20"/>
      <c r="H29" s="20"/>
    </row>
    <row r="30" spans="1:8">
      <c r="A30" s="33">
        <v>29</v>
      </c>
      <c r="B30" s="19"/>
      <c r="C30" s="20"/>
      <c r="D30" s="20"/>
      <c r="E30" s="20"/>
      <c r="F30" s="21"/>
      <c r="G30" s="20"/>
      <c r="H30" s="20"/>
    </row>
    <row r="31" spans="1:8">
      <c r="A31" s="33">
        <v>30</v>
      </c>
      <c r="B31" s="26">
        <v>40079</v>
      </c>
      <c r="C31" s="27">
        <v>1288.48</v>
      </c>
      <c r="D31" s="24">
        <v>1.4999999999999999E-2</v>
      </c>
      <c r="E31" s="21">
        <f>ROUND(C31*(1+D31),2)</f>
        <v>1307.81</v>
      </c>
      <c r="F31" s="21">
        <f>ROUND(Параметры!$B$1*3/E31,5)</f>
        <v>27.52693</v>
      </c>
      <c r="G31" s="25">
        <v>0.01</v>
      </c>
      <c r="H31" s="21">
        <f>ROUND($C$38*F31*G31,2)</f>
        <v>469.77</v>
      </c>
    </row>
    <row r="32" spans="1:8">
      <c r="A32" s="33">
        <v>31</v>
      </c>
      <c r="B32" s="19"/>
      <c r="C32" s="20"/>
      <c r="D32" s="20"/>
      <c r="E32" s="20"/>
      <c r="F32" s="21"/>
      <c r="G32" s="20"/>
      <c r="H32" s="20"/>
    </row>
    <row r="33" spans="1:8">
      <c r="A33" s="33">
        <v>32</v>
      </c>
      <c r="B33" s="22"/>
      <c r="C33" s="20"/>
      <c r="D33" s="20"/>
      <c r="E33" s="20"/>
      <c r="F33" s="21"/>
      <c r="G33" s="20"/>
      <c r="H33" s="20"/>
    </row>
    <row r="34" spans="1:8">
      <c r="A34" s="33">
        <v>33</v>
      </c>
      <c r="B34" s="23">
        <v>40170</v>
      </c>
      <c r="C34" s="21">
        <v>1610.49</v>
      </c>
      <c r="D34" s="24">
        <v>1.4999999999999999E-2</v>
      </c>
      <c r="E34" s="21">
        <f>ROUND(C34*(1+D34),2)</f>
        <v>1634.65</v>
      </c>
      <c r="F34" s="21">
        <f>ROUND(Параметры!$B$1*3/E34,5)</f>
        <v>22.023060000000001</v>
      </c>
      <c r="G34" s="25">
        <v>1.4999999999999999E-2</v>
      </c>
      <c r="H34" s="21">
        <f>ROUND($C$38*F34*G34,2)</f>
        <v>563.76</v>
      </c>
    </row>
    <row r="35" spans="1:8">
      <c r="A35" s="33">
        <v>34</v>
      </c>
      <c r="B35" s="27"/>
      <c r="C35" s="27"/>
      <c r="D35" s="24"/>
      <c r="E35" s="21"/>
      <c r="F35" s="21"/>
      <c r="G35" s="21"/>
      <c r="H35" s="21"/>
    </row>
    <row r="36" spans="1:8">
      <c r="A36" s="33">
        <v>35</v>
      </c>
      <c r="B36" s="23"/>
      <c r="C36" s="29"/>
      <c r="D36" s="24"/>
      <c r="E36" s="21"/>
      <c r="F36" s="21"/>
      <c r="G36" s="21"/>
      <c r="H36" s="21"/>
    </row>
    <row r="37" spans="1:8">
      <c r="A37" s="33">
        <v>36</v>
      </c>
      <c r="B37" s="26">
        <v>40260</v>
      </c>
      <c r="C37" s="27">
        <v>1981.45</v>
      </c>
      <c r="D37" s="24">
        <v>1.4999999999999999E-2</v>
      </c>
      <c r="E37" s="21">
        <f>ROUND(C37*(1+D37),2)</f>
        <v>2011.17</v>
      </c>
      <c r="F37" s="21">
        <f>ROUND(Параметры!$B$1*3/E37,5)</f>
        <v>17.900030000000001</v>
      </c>
      <c r="G37" s="30">
        <v>0.02</v>
      </c>
      <c r="H37" s="21">
        <f>ROUND($C$38*F37*G37,2)</f>
        <v>610.96</v>
      </c>
    </row>
    <row r="38" spans="1:8">
      <c r="B38" s="34">
        <v>40352</v>
      </c>
      <c r="C38" s="35">
        <v>1706.58</v>
      </c>
      <c r="D38" s="4"/>
      <c r="E38" s="3"/>
      <c r="F38" s="6"/>
      <c r="G38" s="6"/>
      <c r="H38" s="3"/>
    </row>
    <row r="39" spans="1:8" ht="15.75" thickBot="1">
      <c r="B39" s="2"/>
      <c r="D39" s="4"/>
      <c r="E39" s="3"/>
      <c r="F39" s="6"/>
      <c r="G39" s="6"/>
      <c r="H39" s="3"/>
    </row>
    <row r="40" spans="1:8">
      <c r="B40" s="36" t="s">
        <v>18</v>
      </c>
      <c r="C40" s="37"/>
      <c r="D40" s="38"/>
      <c r="E40" s="39"/>
      <c r="F40" s="6"/>
      <c r="G40" s="6"/>
      <c r="H40" s="3"/>
    </row>
    <row r="41" spans="1:8">
      <c r="B41" s="40" t="s">
        <v>3</v>
      </c>
      <c r="C41" s="6"/>
      <c r="D41" s="16"/>
      <c r="E41" s="46">
        <f>SUM(F2:F37)</f>
        <v>466.82925999999998</v>
      </c>
      <c r="F41" s="6"/>
      <c r="G41" s="6"/>
      <c r="H41" s="3"/>
    </row>
    <row r="42" spans="1:8" ht="15.75" thickBot="1">
      <c r="B42" s="42" t="s">
        <v>7</v>
      </c>
      <c r="C42" s="18"/>
      <c r="D42" s="17"/>
      <c r="E42" s="47">
        <f>ROUND(E41*C38,2)</f>
        <v>796681.48</v>
      </c>
      <c r="F42" s="6"/>
      <c r="G42" s="6"/>
      <c r="H42" s="3"/>
    </row>
    <row r="43" spans="1:8">
      <c r="B43" s="41" t="s">
        <v>19</v>
      </c>
      <c r="C43" s="6"/>
      <c r="D43" s="16"/>
      <c r="E43" s="48"/>
      <c r="F43" s="6"/>
      <c r="G43" s="6"/>
      <c r="H43" s="3"/>
    </row>
    <row r="44" spans="1:8">
      <c r="B44" s="40" t="s">
        <v>4</v>
      </c>
      <c r="C44" s="6"/>
      <c r="D44" s="16"/>
      <c r="E44" s="48">
        <f>SUM(H2:H37)</f>
        <v>3348.4300000000003</v>
      </c>
      <c r="F44" s="6"/>
      <c r="G44" s="6"/>
      <c r="H44" s="3"/>
    </row>
    <row r="45" spans="1:8">
      <c r="B45" s="40" t="s">
        <v>9</v>
      </c>
      <c r="C45" s="6"/>
      <c r="D45" s="16"/>
      <c r="E45" s="48">
        <f>ROUND((E42-E44-Параметры!$B$1*6*6)*0.13,2)</f>
        <v>46973.3</v>
      </c>
      <c r="F45" s="6"/>
      <c r="G45" s="6"/>
      <c r="H45" s="3"/>
    </row>
    <row r="46" spans="1:8" ht="16.5" thickBot="1">
      <c r="B46" s="49" t="s">
        <v>20</v>
      </c>
      <c r="C46" s="50"/>
      <c r="D46" s="51"/>
      <c r="E46" s="52">
        <f>E42-E44-E45</f>
        <v>746359.74999999988</v>
      </c>
      <c r="F46" s="6"/>
      <c r="G46" s="6"/>
      <c r="H46" s="3"/>
    </row>
    <row r="49" spans="2:2" ht="15.75">
      <c r="B49" s="7" t="s">
        <v>14</v>
      </c>
    </row>
    <row r="50" spans="2:2">
      <c r="B50" s="5" t="s">
        <v>12</v>
      </c>
    </row>
    <row r="51" spans="2:2">
      <c r="B51" s="5" t="s">
        <v>13</v>
      </c>
    </row>
    <row r="52" spans="2:2">
      <c r="B52" s="5" t="s">
        <v>11</v>
      </c>
    </row>
    <row r="53" spans="2:2">
      <c r="B53" s="5" t="s">
        <v>15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Параметры</vt:lpstr>
      <vt:lpstr>Депозит</vt:lpstr>
      <vt:lpstr>ОПИФА "Арсагера - фонд акций"</vt:lpstr>
      <vt:lpstr>ИПИФА "Арсагера - акции 6.4"</vt:lpstr>
    </vt:vector>
  </TitlesOfParts>
  <Company>Bercut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Nasyrov</dc:creator>
  <cp:lastModifiedBy>lebedev</cp:lastModifiedBy>
  <dcterms:created xsi:type="dcterms:W3CDTF">2010-06-23T11:46:04Z</dcterms:created>
  <dcterms:modified xsi:type="dcterms:W3CDTF">2010-08-05T14:23:46Z</dcterms:modified>
</cp:coreProperties>
</file>